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9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<sst xmlns="http://schemas.openxmlformats.org/spreadsheetml/2006/main" count="60" uniqueCount="45">
  <si>
    <t>Frequency</t>
  </si>
  <si>
    <t>MHz</t>
  </si>
  <si>
    <t>Section</t>
  </si>
  <si>
    <t>Equivalent cylindrical element and reactance calculations:</t>
  </si>
  <si>
    <t>Diameter dn</t>
  </si>
  <si>
    <t>Length Ln</t>
  </si>
  <si>
    <t>ΔN</t>
  </si>
  <si>
    <t>ΔM</t>
  </si>
  <si>
    <t>(ΔN)'</t>
  </si>
  <si>
    <t>(ΔM)'</t>
  </si>
  <si>
    <t>Tapered element</t>
  </si>
  <si>
    <t>Cylindrical element</t>
  </si>
  <si>
    <t>Reactance</t>
  </si>
  <si>
    <t>M</t>
  </si>
  <si>
    <t>ohms</t>
  </si>
  <si>
    <t>Mcyl</t>
  </si>
  <si>
    <t>f</t>
  </si>
  <si>
    <t>Ka</t>
  </si>
  <si>
    <t>Ka'</t>
  </si>
  <si>
    <t>fr</t>
  </si>
  <si>
    <t>Xo ½</t>
  </si>
  <si>
    <t>Xo'</t>
  </si>
  <si>
    <t>X(f)</t>
  </si>
  <si>
    <t>Zo ½</t>
  </si>
  <si>
    <t>Zo'</t>
  </si>
  <si>
    <t>fr/fo</t>
  </si>
  <si>
    <t>fo'/fo</t>
  </si>
  <si>
    <t>fo</t>
  </si>
  <si>
    <t>fo'</t>
  </si>
  <si>
    <t>L</t>
  </si>
  <si>
    <t>inches</t>
  </si>
  <si>
    <t>L'</t>
  </si>
  <si>
    <t>d'</t>
  </si>
  <si>
    <t>Ln * [ln(radius)]</t>
  </si>
  <si>
    <t>Cumulative Length</t>
  </si>
  <si>
    <t>SL in air, in/usec</t>
  </si>
  <si>
    <t>ln(radius)</t>
  </si>
  <si>
    <t>Length, feet</t>
  </si>
  <si>
    <t>feet</t>
  </si>
  <si>
    <t>Length, inches</t>
  </si>
  <si>
    <t>Diameter, inches</t>
  </si>
  <si>
    <t>Based on "Element.wk1" by Dave Leeson, W6NL (ex-W6QHS).</t>
  </si>
  <si>
    <r>
      <t xml:space="preserve">User input cells are </t>
    </r>
    <r>
      <rPr>
        <b/>
        <sz val="10"/>
        <color indexed="12"/>
        <rFont val="Arial"/>
        <family val="2"/>
      </rPr>
      <t>blue</t>
    </r>
    <r>
      <rPr>
        <sz val="10"/>
        <rFont val="Arial"/>
        <family val="2"/>
      </rPr>
      <t>.</t>
    </r>
  </si>
  <si>
    <t xml:space="preserve">  Total half-length</t>
  </si>
  <si>
    <t>Equivalent Cylindrical Element (half-length)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</si>
</sst>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00"/>
    <numFmt numFmtId="167" formatCode="0.0000"/>
    <numFmt numFmtId="168" formatCode="0.000000"/>
  </numFmts>
  <fonts count="4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165" fontId="0" fillId="0" borderId="0" xfId="0" applyNumberForma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1" xfId="0" applyBorder="1" applyAlignment="1">
      <alignment/>
    </xf>
    <xf numFmtId="167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8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B1" sqref="B1"/>
    </sheetView>
  </sheetViews>
  <sheetFormatPr defaultColWidth="9.140625" defaultRowHeight="12.75"/>
  <cols>
    <col min="1" max="1" width="16.28125" style="0" customWidth="1"/>
  </cols>
  <sheetData>
    <row r="1" spans="1:10" ht="12.75">
      <c r="A1" t="s">
        <v>0</v>
      </c>
      <c r="B1" s="11">
        <v>14.2</v>
      </c>
      <c r="C1" t="s">
        <v>1</v>
      </c>
      <c r="D1" t="s">
        <v>41</v>
      </c>
      <c r="F1" s="1"/>
      <c r="J1" s="1" t="s">
        <v>42</v>
      </c>
    </row>
    <row r="2" spans="3:10" ht="12.75">
      <c r="C2" s="1"/>
      <c r="D2" s="1"/>
      <c r="E2" s="2"/>
      <c r="F2" s="1"/>
      <c r="G2" s="1"/>
      <c r="H2" s="1"/>
      <c r="I2" s="1"/>
      <c r="J2" s="1"/>
    </row>
    <row r="3" spans="1:11" ht="12.75">
      <c r="A3" t="s">
        <v>2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t="s">
        <v>43</v>
      </c>
    </row>
    <row r="4" spans="1:12" ht="12.75">
      <c r="A4" t="s">
        <v>39</v>
      </c>
      <c r="B4" s="11">
        <v>48</v>
      </c>
      <c r="C4" s="11">
        <v>24</v>
      </c>
      <c r="D4" s="11">
        <v>20</v>
      </c>
      <c r="E4" s="11">
        <v>42</v>
      </c>
      <c r="F4" s="11">
        <v>20</v>
      </c>
      <c r="G4" s="11">
        <v>68.375</v>
      </c>
      <c r="H4" s="12"/>
      <c r="I4" s="12"/>
      <c r="J4" s="11"/>
      <c r="K4">
        <f>SUM(B4:J4)</f>
        <v>222.375</v>
      </c>
      <c r="L4" t="s">
        <v>30</v>
      </c>
    </row>
    <row r="5" spans="1:10" ht="12.75">
      <c r="A5" t="s">
        <v>40</v>
      </c>
      <c r="B5" s="11">
        <v>1.25</v>
      </c>
      <c r="C5" s="11">
        <v>1</v>
      </c>
      <c r="D5" s="11">
        <v>0.875</v>
      </c>
      <c r="E5" s="11">
        <v>0.75</v>
      </c>
      <c r="F5" s="11">
        <v>0.625</v>
      </c>
      <c r="G5" s="11">
        <v>0.5</v>
      </c>
      <c r="H5" s="12"/>
      <c r="I5" s="12"/>
      <c r="J5" s="11"/>
    </row>
    <row r="6" spans="2:10" ht="12.75">
      <c r="B6" s="6"/>
      <c r="C6" s="6"/>
      <c r="D6" s="6"/>
      <c r="E6" s="6"/>
      <c r="F6" s="6"/>
      <c r="G6" s="6"/>
      <c r="H6" s="7"/>
      <c r="I6" s="7"/>
      <c r="J6" s="6"/>
    </row>
    <row r="7" spans="1:12" ht="12.75">
      <c r="A7" t="s">
        <v>37</v>
      </c>
      <c r="B7" s="10">
        <f>IF(ISBLANK(B4),"",B4/12)</f>
        <v>4</v>
      </c>
      <c r="C7" s="10">
        <f aca="true" t="shared" si="0" ref="C7:K7">IF(ISBLANK(C4),"",C4/12)</f>
        <v>2</v>
      </c>
      <c r="D7" s="10">
        <f t="shared" si="0"/>
        <v>1.6666666666666667</v>
      </c>
      <c r="E7" s="10">
        <f t="shared" si="0"/>
        <v>3.5</v>
      </c>
      <c r="F7" s="10">
        <f t="shared" si="0"/>
        <v>1.6666666666666667</v>
      </c>
      <c r="G7" s="10">
        <f t="shared" si="0"/>
        <v>5.697916666666667</v>
      </c>
      <c r="H7" s="10">
        <f t="shared" si="0"/>
      </c>
      <c r="I7" s="10">
        <f t="shared" si="0"/>
      </c>
      <c r="J7" s="10">
        <f t="shared" si="0"/>
      </c>
      <c r="K7" s="10">
        <f t="shared" si="0"/>
        <v>18.53125</v>
      </c>
      <c r="L7" t="s">
        <v>38</v>
      </c>
    </row>
    <row r="9" ht="12.75">
      <c r="A9" t="s">
        <v>3</v>
      </c>
    </row>
    <row r="10" spans="1:11" ht="12.75">
      <c r="A10" t="s">
        <v>5</v>
      </c>
      <c r="B10">
        <f aca="true" t="shared" si="1" ref="B10:J10">B4</f>
        <v>48</v>
      </c>
      <c r="C10">
        <f t="shared" si="1"/>
        <v>24</v>
      </c>
      <c r="D10">
        <f t="shared" si="1"/>
        <v>20</v>
      </c>
      <c r="E10">
        <f t="shared" si="1"/>
        <v>42</v>
      </c>
      <c r="F10">
        <f t="shared" si="1"/>
        <v>20</v>
      </c>
      <c r="G10">
        <f t="shared" si="1"/>
        <v>68.375</v>
      </c>
      <c r="H10">
        <f t="shared" si="1"/>
        <v>0</v>
      </c>
      <c r="I10">
        <f t="shared" si="1"/>
        <v>0</v>
      </c>
      <c r="J10">
        <f t="shared" si="1"/>
        <v>0</v>
      </c>
      <c r="K10">
        <f>SUM(B10:J10)</f>
        <v>222.375</v>
      </c>
    </row>
    <row r="11" spans="1:10" ht="12.75">
      <c r="A11" t="s">
        <v>4</v>
      </c>
      <c r="B11">
        <f aca="true" t="shared" si="2" ref="B11:J11">B5</f>
        <v>1.25</v>
      </c>
      <c r="C11">
        <f t="shared" si="2"/>
        <v>1</v>
      </c>
      <c r="D11">
        <f t="shared" si="2"/>
        <v>0.875</v>
      </c>
      <c r="E11">
        <f t="shared" si="2"/>
        <v>0.75</v>
      </c>
      <c r="F11">
        <f t="shared" si="2"/>
        <v>0.625</v>
      </c>
      <c r="G11">
        <f t="shared" si="2"/>
        <v>0.5</v>
      </c>
      <c r="H11">
        <f t="shared" si="2"/>
        <v>0</v>
      </c>
      <c r="I11">
        <f t="shared" si="2"/>
        <v>0</v>
      </c>
      <c r="J11">
        <f t="shared" si="2"/>
        <v>0</v>
      </c>
    </row>
    <row r="12" spans="1:10" ht="12.75">
      <c r="A12" t="s">
        <v>34</v>
      </c>
      <c r="B12">
        <f>B10</f>
        <v>48</v>
      </c>
      <c r="C12">
        <f>C10+IF(C4=0,0,B12)</f>
        <v>72</v>
      </c>
      <c r="D12">
        <f aca="true" t="shared" si="3" ref="D12:J12">D10+IF(D4=0,0,C12)</f>
        <v>92</v>
      </c>
      <c r="E12">
        <f t="shared" si="3"/>
        <v>134</v>
      </c>
      <c r="F12">
        <f t="shared" si="3"/>
        <v>154</v>
      </c>
      <c r="G12">
        <f t="shared" si="3"/>
        <v>222.375</v>
      </c>
      <c r="H12">
        <f t="shared" si="3"/>
        <v>0</v>
      </c>
      <c r="I12">
        <f t="shared" si="3"/>
        <v>0</v>
      </c>
      <c r="J12">
        <f t="shared" si="3"/>
        <v>0</v>
      </c>
    </row>
    <row r="13" spans="1:11" ht="12.75">
      <c r="A13" t="s">
        <v>36</v>
      </c>
      <c r="B13" s="3">
        <f>LN(B11/2)</f>
        <v>-0.4700036292457356</v>
      </c>
      <c r="C13" s="3">
        <f>IF(C4=0,0,LN(C11/2))</f>
        <v>-0.6931471805599453</v>
      </c>
      <c r="D13" s="3">
        <f aca="true" t="shared" si="4" ref="D13:J13">IF(D4=0,0,LN(D11/2))</f>
        <v>-0.8266785731844679</v>
      </c>
      <c r="E13" s="3">
        <f t="shared" si="4"/>
        <v>-0.9808292530117262</v>
      </c>
      <c r="F13" s="3">
        <f t="shared" si="4"/>
        <v>-1.1631508098056809</v>
      </c>
      <c r="G13" s="3">
        <f t="shared" si="4"/>
        <v>-1.3862943611198906</v>
      </c>
      <c r="H13" s="3">
        <f t="shared" si="4"/>
        <v>0</v>
      </c>
      <c r="I13" s="3">
        <f t="shared" si="4"/>
        <v>0</v>
      </c>
      <c r="J13" s="3">
        <f t="shared" si="4"/>
        <v>0</v>
      </c>
      <c r="K13" s="3">
        <f>K14/K10</f>
        <v>-0.9667228769650454</v>
      </c>
    </row>
    <row r="14" spans="1:11" ht="12.75">
      <c r="A14" t="s">
        <v>33</v>
      </c>
      <c r="B14" s="3">
        <f>B10*B13</f>
        <v>-22.560174203795306</v>
      </c>
      <c r="C14" s="3">
        <f aca="true" t="shared" si="5" ref="C14:J14">C10*C13</f>
        <v>-16.635532333438686</v>
      </c>
      <c r="D14" s="3">
        <f t="shared" si="5"/>
        <v>-16.53357146368936</v>
      </c>
      <c r="E14" s="3">
        <f t="shared" si="5"/>
        <v>-41.1948286264925</v>
      </c>
      <c r="F14" s="3">
        <f t="shared" si="5"/>
        <v>-23.263016196113618</v>
      </c>
      <c r="G14" s="3">
        <f t="shared" si="5"/>
        <v>-94.78787694157252</v>
      </c>
      <c r="H14" s="3">
        <f t="shared" si="5"/>
        <v>0</v>
      </c>
      <c r="I14" s="3">
        <f t="shared" si="5"/>
        <v>0</v>
      </c>
      <c r="J14" s="3">
        <f t="shared" si="5"/>
        <v>0</v>
      </c>
      <c r="K14" s="3">
        <f>SUM(B14:J14)</f>
        <v>-214.97499976510198</v>
      </c>
    </row>
    <row r="15" spans="1:11" ht="12.75">
      <c r="A15" t="s">
        <v>6</v>
      </c>
      <c r="B15" s="3">
        <f>IF(B4=0,0,60*(B13-$K13)*(SIN(PI()*B12/$K10)-SIN(PI()*0/$K10)))</f>
        <v>18.69636454030753</v>
      </c>
      <c r="C15" s="3">
        <f>IF(C4=0,0,60*(C13-$K13)*(SIN(PI()*C12/$K10)-SIN(PI()*B12/$K10)))</f>
        <v>3.6653449404194482</v>
      </c>
      <c r="D15" s="3">
        <f aca="true" t="shared" si="6" ref="D15:J15">IF(D4=0,0,60*(D13-$K13)*(SIN(PI()*D12/$K10)-SIN(PI()*C12/$K10)))</f>
        <v>0.9483054026258735</v>
      </c>
      <c r="E15" s="3">
        <f t="shared" si="6"/>
        <v>0.012670235847418537</v>
      </c>
      <c r="F15" s="3">
        <f t="shared" si="6"/>
        <v>1.484017993394672</v>
      </c>
      <c r="G15" s="3">
        <f t="shared" si="6"/>
        <v>20.708315894732582</v>
      </c>
      <c r="H15" s="3">
        <f t="shared" si="6"/>
        <v>0</v>
      </c>
      <c r="I15" s="3">
        <f t="shared" si="6"/>
        <v>0</v>
      </c>
      <c r="J15" s="3">
        <f t="shared" si="6"/>
        <v>0</v>
      </c>
      <c r="K15" s="3">
        <f>SUM(B15:J15)</f>
        <v>45.515019007327524</v>
      </c>
    </row>
    <row r="16" spans="1:11" ht="12.75">
      <c r="A16" t="s">
        <v>7</v>
      </c>
      <c r="B16" s="3">
        <f>IF(B4=0,0,-60*(B13-$K13)*(COS(PI()*B12/$K10)-COS(PI()*0/$K10)))</f>
        <v>6.593803455302644</v>
      </c>
      <c r="C16" s="3">
        <f>IF(C4=0,0,-60*(C13-$K13)*(COS(PI()*C12/$K10)-COS(PI()*B12/$K10)))</f>
        <v>4.1526368066219765</v>
      </c>
      <c r="D16" s="3">
        <f aca="true" t="shared" si="7" ref="D16:J16">IF(D4=0,0,-60*(D13-$K13)*(COS(PI()*D12/$K10)-COS(PI()*C12/$K10)))</f>
        <v>2.167941116855992</v>
      </c>
      <c r="E16" s="3">
        <f t="shared" si="7"/>
        <v>-0.49470675446987034</v>
      </c>
      <c r="F16" s="3">
        <f t="shared" si="7"/>
        <v>-2.968707732251031</v>
      </c>
      <c r="G16" s="3">
        <f t="shared" si="7"/>
        <v>-10.859594433574877</v>
      </c>
      <c r="H16" s="3">
        <f t="shared" si="7"/>
        <v>0</v>
      </c>
      <c r="I16" s="3">
        <f t="shared" si="7"/>
        <v>0</v>
      </c>
      <c r="J16" s="3">
        <f t="shared" si="7"/>
        <v>0</v>
      </c>
      <c r="K16" s="3">
        <f>SUM(B16:J16)</f>
        <v>-1.4086275415151661</v>
      </c>
    </row>
    <row r="17" spans="1:11" ht="12.75">
      <c r="A17" t="s">
        <v>8</v>
      </c>
      <c r="B17" s="3">
        <f>IF(B4=0,0,120*(B13-$K13)*(B12*COS(PI()*B12/$K10)-0*COS(PI()*0/$K10))/$K10)</f>
        <v>10.019551366629212</v>
      </c>
      <c r="C17" s="3">
        <f>IF(C4=0,0,120*(C13-$K13)*(C12*COS(PI()*C12/$K10)-B12*COS(PI()*B12/$K10))/$K10)</f>
        <v>0.0701503918577406</v>
      </c>
      <c r="D17" s="3">
        <f aca="true" t="shared" si="8" ref="D17:J17">IF(D4=0,0,120*(D13-$K13)*(D12*COS(PI()*D12/$K10)-C12*COS(PI()*C12/$K10))/$K10)</f>
        <v>-0.9991531066175783</v>
      </c>
      <c r="E17" s="3">
        <f t="shared" si="8"/>
        <v>0.5105991845553248</v>
      </c>
      <c r="F17" s="3">
        <f t="shared" si="8"/>
        <v>4.783263440107673</v>
      </c>
      <c r="G17" s="3">
        <f t="shared" si="8"/>
        <v>30.52204210469507</v>
      </c>
      <c r="H17" s="3">
        <f t="shared" si="8"/>
        <v>0</v>
      </c>
      <c r="I17" s="3">
        <f t="shared" si="8"/>
        <v>0</v>
      </c>
      <c r="J17" s="3">
        <f t="shared" si="8"/>
        <v>0</v>
      </c>
      <c r="K17" s="3">
        <f>SUM(B17:J17)</f>
        <v>44.90645338122744</v>
      </c>
    </row>
    <row r="18" spans="1:11" ht="12.75">
      <c r="A18" t="s">
        <v>9</v>
      </c>
      <c r="B18" s="3">
        <f>IF(B4=0,0,120*(B13-$K13)*(B12*SIN(PI()*B12/$K10)-0*SIN(PI()*0/$K10))/$K10)</f>
        <v>8.071280476085544</v>
      </c>
      <c r="C18" s="3">
        <f>IF(C4=0,0,120*(C13-$K13)*(C12*SIN(PI()*C12/$K10)-B12*SIN(PI()*B12/$K10))/$K10)</f>
        <v>4.596202102204122</v>
      </c>
      <c r="D18" s="3">
        <f aca="true" t="shared" si="9" ref="D18:J18">IF(D4=0,0,120*(D13-$K13)*(D12*SIN(PI()*D12/$K10)-C12*SIN(PI()*C12/$K10))/$K10)</f>
        <v>2.070328576975067</v>
      </c>
      <c r="E18" s="3">
        <f t="shared" si="9"/>
        <v>-0.2927686227607843</v>
      </c>
      <c r="F18" s="3">
        <f t="shared" si="9"/>
        <v>0.04461812938623753</v>
      </c>
      <c r="G18" s="3">
        <f t="shared" si="9"/>
        <v>28.68200695032101</v>
      </c>
      <c r="H18" s="3">
        <f t="shared" si="9"/>
        <v>0</v>
      </c>
      <c r="I18" s="3">
        <f t="shared" si="9"/>
        <v>0</v>
      </c>
      <c r="J18" s="3">
        <f t="shared" si="9"/>
        <v>0</v>
      </c>
      <c r="K18" s="3">
        <f>SUM(B18:J18)</f>
        <v>43.171667612211195</v>
      </c>
    </row>
    <row r="19" spans="3:10" ht="12.75">
      <c r="C19" s="2"/>
      <c r="D19" s="2"/>
      <c r="E19" s="2"/>
      <c r="F19" s="2"/>
      <c r="G19" s="2"/>
      <c r="H19" s="2"/>
      <c r="I19" s="2"/>
      <c r="J19" s="2"/>
    </row>
    <row r="20" spans="1:11" ht="12.75">
      <c r="A20" s="8" t="s">
        <v>10</v>
      </c>
      <c r="B20" s="8"/>
      <c r="C20" s="9"/>
      <c r="E20" s="9" t="s">
        <v>11</v>
      </c>
      <c r="F20" s="8"/>
      <c r="G20" s="9"/>
      <c r="H20" s="2"/>
      <c r="I20" s="9" t="s">
        <v>12</v>
      </c>
      <c r="J20" s="9"/>
      <c r="K20" s="9"/>
    </row>
    <row r="21" spans="1:11" ht="12.75">
      <c r="A21" t="s">
        <v>13</v>
      </c>
      <c r="B21" s="4">
        <f>F21+K16</f>
        <v>-22.539627541515166</v>
      </c>
      <c r="C21" t="s">
        <v>14</v>
      </c>
      <c r="E21" s="2" t="s">
        <v>15</v>
      </c>
      <c r="F21" s="4">
        <v>-21.131</v>
      </c>
      <c r="G21" t="s">
        <v>14</v>
      </c>
      <c r="H21" s="2"/>
      <c r="I21" t="s">
        <v>16</v>
      </c>
      <c r="J21">
        <f>B1</f>
        <v>14.2</v>
      </c>
      <c r="K21" t="s">
        <v>1</v>
      </c>
    </row>
    <row r="22" spans="1:11" ht="12.75">
      <c r="A22" t="s">
        <v>17</v>
      </c>
      <c r="B22" s="4">
        <f>120*(LN(2*$K10)-1-$K14/$K10)</f>
        <v>727.7082244213187</v>
      </c>
      <c r="C22" t="s">
        <v>14</v>
      </c>
      <c r="E22" t="s">
        <v>18</v>
      </c>
      <c r="F22" s="4">
        <f>F24+14.67+4253/B22+68673/B22^2</f>
        <v>718.7647522119081</v>
      </c>
      <c r="G22" t="s">
        <v>14</v>
      </c>
      <c r="H22" s="2"/>
      <c r="I22" t="s">
        <v>19</v>
      </c>
      <c r="J22">
        <f>B26*B25</f>
        <v>13.303800272948475</v>
      </c>
      <c r="K22" t="s">
        <v>1</v>
      </c>
    </row>
    <row r="23" spans="1:11" ht="12.75">
      <c r="A23" t="s">
        <v>20</v>
      </c>
      <c r="B23" s="4">
        <f>(42.545-$K15)*(1-B21/B22)</f>
        <v>-3.062010714951298</v>
      </c>
      <c r="C23" t="s">
        <v>14</v>
      </c>
      <c r="E23" t="s">
        <v>21</v>
      </c>
      <c r="F23" s="4">
        <f>42.545*(1-F21/B22)</f>
        <v>43.78041051870742</v>
      </c>
      <c r="G23" t="s">
        <v>14</v>
      </c>
      <c r="I23" t="s">
        <v>22</v>
      </c>
      <c r="J23">
        <f>(J21-J22)*PI()*B24/(2*B26)</f>
        <v>70.92270427073544</v>
      </c>
      <c r="K23" t="s">
        <v>14</v>
      </c>
    </row>
    <row r="24" spans="1:7" ht="12.75">
      <c r="A24" t="s">
        <v>23</v>
      </c>
      <c r="B24" s="4">
        <f>(B22-2*B21-(1-B21/B22)*(56.93+$K17)-(B23/B22)*(76.39+$K18))</f>
        <v>668.2998857933969</v>
      </c>
      <c r="C24" t="s">
        <v>14</v>
      </c>
      <c r="E24" t="s">
        <v>24</v>
      </c>
      <c r="F24" s="4">
        <f>B24*F25</f>
        <v>698.1206973363151</v>
      </c>
      <c r="G24" t="s">
        <v>14</v>
      </c>
    </row>
    <row r="25" spans="1:6" ht="12.75">
      <c r="A25" t="s">
        <v>25</v>
      </c>
      <c r="B25" s="4">
        <f>1-2*B23/(PI()*B24)</f>
        <v>1.002916859041544</v>
      </c>
      <c r="E25" t="s">
        <v>26</v>
      </c>
      <c r="F25" s="4">
        <f>1+2*(F23-B23)/(PI()*B24)</f>
        <v>1.044621901300365</v>
      </c>
    </row>
    <row r="26" spans="1:7" ht="13.5" thickBot="1">
      <c r="A26" t="s">
        <v>27</v>
      </c>
      <c r="B26" s="4">
        <f>J27/(4*$K10)</f>
        <v>13.265107823257152</v>
      </c>
      <c r="C26" t="s">
        <v>1</v>
      </c>
      <c r="E26" t="s">
        <v>28</v>
      </c>
      <c r="F26" s="4">
        <f>B26*F25</f>
        <v>13.857022155285232</v>
      </c>
      <c r="G26" t="s">
        <v>1</v>
      </c>
    </row>
    <row r="27" spans="1:11" ht="12.75">
      <c r="A27" t="s">
        <v>29</v>
      </c>
      <c r="B27" s="4">
        <f>$K10</f>
        <v>222.375</v>
      </c>
      <c r="C27" s="5" t="s">
        <v>30</v>
      </c>
      <c r="E27" s="13" t="s">
        <v>31</v>
      </c>
      <c r="F27" s="14">
        <f>$K10/F25</f>
        <v>212.87606522817816</v>
      </c>
      <c r="G27" s="15" t="s">
        <v>30</v>
      </c>
      <c r="J27">
        <f>983.571056*12/SQRT(1.0006)</f>
        <v>11799.313408787237</v>
      </c>
      <c r="K27" t="s">
        <v>35</v>
      </c>
    </row>
    <row r="28" spans="3:7" ht="13.5" thickBot="1">
      <c r="C28" s="5"/>
      <c r="E28" s="16" t="s">
        <v>32</v>
      </c>
      <c r="F28" s="17">
        <f>4*F27*EXP(-F22/120-1)</f>
        <v>0.7845054463902202</v>
      </c>
      <c r="G28" s="18" t="s">
        <v>30</v>
      </c>
    </row>
    <row r="29" spans="5:7" ht="12.75">
      <c r="E29" s="19" t="s">
        <v>44</v>
      </c>
      <c r="F29" s="8"/>
      <c r="G29" s="8"/>
    </row>
    <row r="34" ht="12.75">
      <c r="B34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Maguire</dc:creator>
  <cp:keywords/>
  <dc:description/>
  <cp:lastModifiedBy>Dan Maguire</cp:lastModifiedBy>
  <dcterms:created xsi:type="dcterms:W3CDTF">2013-10-06T06:39:51Z</dcterms:created>
  <dcterms:modified xsi:type="dcterms:W3CDTF">2014-10-08T08:42:59Z</dcterms:modified>
  <cp:category/>
  <cp:version/>
  <cp:contentType/>
  <cp:contentStatus/>
</cp:coreProperties>
</file>